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15"/>
  <workbookPr defaultThemeVersion="166925"/>
  <xr:revisionPtr revIDLastSave="0" documentId="8_{DB68C768-F5C7-44DC-8D7B-3CF73500B6C0}" xr6:coauthVersionLast="47" xr6:coauthVersionMax="47" xr10:uidLastSave="{00000000-0000-0000-0000-000000000000}"/>
  <bookViews>
    <workbookView xWindow="240" yWindow="105" windowWidth="14805" windowHeight="8010" firstSheet="1" activeTab="1" xr2:uid="{00000000-000D-0000-FFFF-FFFF00000000}"/>
  </bookViews>
  <sheets>
    <sheet name="Sheet1" sheetId="1" r:id="rId1"/>
    <sheet name="Sheet2" sheetId="2" r:id="rId2"/>
  </sheets>
  <calcPr calcId="191028" calcCompleted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8" i="2" l="1"/>
  <c r="E10" i="2"/>
  <c r="E5" i="2"/>
  <c r="E4" i="2"/>
  <c r="E6" i="2"/>
  <c r="H12" i="1"/>
  <c r="G12" i="1"/>
  <c r="I12" i="1" s="1"/>
  <c r="H11" i="1"/>
  <c r="G11" i="1"/>
  <c r="I11" i="1" s="1"/>
  <c r="R11" i="1"/>
  <c r="R12" i="1"/>
  <c r="R9" i="1"/>
  <c r="R10" i="1"/>
  <c r="G9" i="1"/>
  <c r="H9" i="1"/>
  <c r="I9" i="1"/>
  <c r="J9" i="1"/>
  <c r="K9" i="1"/>
  <c r="L9" i="1"/>
  <c r="M9" i="1"/>
  <c r="Q9" i="1"/>
  <c r="G10" i="1"/>
  <c r="H10" i="1"/>
  <c r="I10" i="1"/>
  <c r="J10" i="1"/>
  <c r="K10" i="1"/>
  <c r="L10" i="1"/>
  <c r="M10" i="1"/>
  <c r="Q10" i="1"/>
  <c r="R3" i="1"/>
  <c r="R4" i="1"/>
  <c r="R5" i="1"/>
  <c r="R6" i="1"/>
  <c r="R7" i="1"/>
  <c r="R8" i="1"/>
  <c r="H8" i="1"/>
  <c r="G8" i="1"/>
  <c r="I8" i="1" s="1"/>
  <c r="H7" i="1"/>
  <c r="G7" i="1"/>
  <c r="I7" i="1" s="1"/>
  <c r="H6" i="1"/>
  <c r="G6" i="1"/>
  <c r="I6" i="1" s="1"/>
  <c r="H5" i="1"/>
  <c r="G5" i="1"/>
  <c r="I5" i="1" s="1"/>
  <c r="H4" i="1"/>
  <c r="G4" i="1"/>
  <c r="I4" i="1" s="1"/>
  <c r="H3" i="1"/>
  <c r="G3" i="1"/>
  <c r="I3" i="1" s="1"/>
  <c r="I3" i="2" l="1"/>
  <c r="E7" i="2"/>
  <c r="E9" i="2" s="1"/>
  <c r="E14" i="2" s="1"/>
  <c r="K11" i="1"/>
  <c r="J11" i="1"/>
  <c r="K12" i="1"/>
  <c r="J12" i="1"/>
  <c r="K8" i="1"/>
  <c r="J8" i="1"/>
  <c r="K7" i="1"/>
  <c r="J7" i="1"/>
  <c r="K6" i="1"/>
  <c r="J6" i="1"/>
  <c r="K5" i="1"/>
  <c r="J5" i="1"/>
  <c r="K4" i="1"/>
  <c r="L4" i="1" s="1"/>
  <c r="M4" i="1" s="1"/>
  <c r="J4" i="1"/>
  <c r="K3" i="1"/>
  <c r="L3" i="1" s="1"/>
  <c r="M3" i="1" s="1"/>
  <c r="J3" i="1"/>
  <c r="L12" i="1" l="1"/>
  <c r="L11" i="1"/>
  <c r="L8" i="1"/>
  <c r="M8" i="1" s="1"/>
  <c r="L7" i="1"/>
  <c r="M7" i="1" s="1"/>
  <c r="L6" i="1"/>
  <c r="M6" i="1" s="1"/>
  <c r="L5" i="1"/>
  <c r="M5" i="1" s="1"/>
  <c r="Q8" i="1"/>
  <c r="T8" i="1" s="1"/>
  <c r="Q7" i="1"/>
  <c r="T7" i="1" s="1"/>
  <c r="Q6" i="1"/>
  <c r="T6" i="1" s="1"/>
  <c r="Q5" i="1"/>
  <c r="T5" i="1" s="1"/>
  <c r="Q3" i="1"/>
  <c r="T3" i="1" s="1"/>
  <c r="Q4" i="1"/>
  <c r="T4" i="1" s="1"/>
  <c r="M11" i="1" l="1"/>
  <c r="Q11" i="1"/>
  <c r="T11" i="1" s="1"/>
  <c r="M12" i="1"/>
  <c r="Q12" i="1"/>
  <c r="T12" i="1" s="1"/>
  <c r="S7" i="1"/>
  <c r="U4" i="1"/>
  <c r="U7" i="1" l="1"/>
  <c r="S3" i="1" s="1"/>
  <c r="U3" i="1" s="1"/>
  <c r="S11" i="1" s="1"/>
  <c r="S5" i="1"/>
  <c r="U5" i="1" s="1"/>
  <c r="V4" i="1" s="1"/>
  <c r="S8" i="1" s="1"/>
  <c r="U11" i="1"/>
  <c r="U8" i="1" l="1"/>
  <c r="V3" i="1"/>
  <c r="S12" i="1" l="1"/>
  <c r="U12" i="1"/>
  <c r="S6" i="1"/>
  <c r="U6" i="1" s="1"/>
  <c r="J3" i="2"/>
  <c r="J3" i="2" a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<sst xmlns="http://schemas.openxmlformats.org/spreadsheetml/2006/main" count="103" uniqueCount="67">
  <si>
    <t>ユニット名</t>
  </si>
  <si>
    <t>動作名称</t>
  </si>
  <si>
    <t>使用
アクチュエータ</t>
  </si>
  <si>
    <t>完了信号</t>
  </si>
  <si>
    <t>加速度
(G)</t>
  </si>
  <si>
    <t>加速時間:設定速度までの</t>
  </si>
  <si>
    <t>加速時間:全期間加減速</t>
  </si>
  <si>
    <t>加減速
時間(移動距離加味)</t>
  </si>
  <si>
    <t>[mm]距離:等速期間</t>
  </si>
  <si>
    <t>最高速度</t>
  </si>
  <si>
    <t>[秒]時間:等速期間</t>
  </si>
  <si>
    <t>減速開始時間</t>
  </si>
  <si>
    <t>最高速度
(mm/s)</t>
  </si>
  <si>
    <t>移動距離
(mm)</t>
  </si>
  <si>
    <t>余裕
時間</t>
  </si>
  <si>
    <t>タクト</t>
  </si>
  <si>
    <t>ユニット名＋
ポジション名称</t>
  </si>
  <si>
    <t>開始
時間</t>
  </si>
  <si>
    <t>動作完了後時間</t>
  </si>
  <si>
    <t>P＆P</t>
  </si>
  <si>
    <t>上昇</t>
  </si>
  <si>
    <t>シリンダ</t>
  </si>
  <si>
    <t>AS</t>
  </si>
  <si>
    <t>下降</t>
  </si>
  <si>
    <t>前進</t>
  </si>
  <si>
    <t>ロボシリンダ</t>
  </si>
  <si>
    <t>位置決め幅</t>
  </si>
  <si>
    <t>後退</t>
  </si>
  <si>
    <t>吸着ON</t>
  </si>
  <si>
    <t>エジェクタ</t>
  </si>
  <si>
    <t>圧力SW</t>
  </si>
  <si>
    <t>吸着OFF</t>
  </si>
  <si>
    <t>タイマー</t>
  </si>
  <si>
    <t>テーブル</t>
  </si>
  <si>
    <t>項目</t>
  </si>
  <si>
    <t>説明</t>
  </si>
  <si>
    <t>数値</t>
  </si>
  <si>
    <t>入力項目</t>
  </si>
  <si>
    <t>①</t>
  </si>
  <si>
    <t>加速度[G]</t>
  </si>
  <si>
    <t>任意入力</t>
  </si>
  <si>
    <t>②</t>
  </si>
  <si>
    <t>目標の
加速時間[s]</t>
  </si>
  <si>
    <t>計算結果</t>
  </si>
  <si>
    <t>③</t>
  </si>
  <si>
    <t>実際の
加速時間[s]:</t>
  </si>
  <si>
    <t>④</t>
  </si>
  <si>
    <t>比較後
加減速時間[s]</t>
  </si>
  <si>
    <t>比較結果②、③</t>
  </si>
  <si>
    <t>⑤</t>
  </si>
  <si>
    <t>等速期間距離[mm]</t>
  </si>
  <si>
    <t>④結果より</t>
  </si>
  <si>
    <t>⑥</t>
  </si>
  <si>
    <t>最高速度[mm/s]</t>
  </si>
  <si>
    <t>⑦</t>
  </si>
  <si>
    <t>等速時間[s]</t>
  </si>
  <si>
    <t>⑧</t>
  </si>
  <si>
    <t>減速開始時間[s]</t>
  </si>
  <si>
    <t>減速加速は同数</t>
  </si>
  <si>
    <t>⑨</t>
  </si>
  <si>
    <t>目標最高速度[mm/s]</t>
  </si>
  <si>
    <t>⑩</t>
  </si>
  <si>
    <t>移動距離[mm]</t>
  </si>
  <si>
    <t>⑪</t>
  </si>
  <si>
    <t>余裕時間</t>
  </si>
  <si>
    <t>合計タクト[s]</t>
  </si>
  <si>
    <t>④+⑦+⑧+⑪＝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</si>
</sst>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0_);[Red]\(0.00\)"/>
    <numFmt numFmtId="178" formatCode="0.000"/>
  </numFmts>
  <fonts count="4">
    <font>
      <sz val="11"/>
      <color theme="1"/>
      <name val="ＭＳ Ｐゴシック"/>
      <family val="2"/>
      <scheme val="minor"/>
    </font>
    <font>
      <sz val="11"/>
      <color theme="0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16"/>
      <color theme="1"/>
      <name val="ＭＳ Ｐゴシック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57">
    <xf numFmtId="0" fontId="0" fillId="0" borderId="0" xfId="0"/>
    <xf numFmtId="2" fontId="0" fillId="0" borderId="0" xfId="0" applyNumberFormat="1"/>
    <xf numFmtId="177" fontId="0" fillId="0" borderId="0" xfId="0" applyNumberFormat="1"/>
    <xf numFmtId="177" fontId="0" fillId="0" borderId="0" xfId="0" applyNumberFormat="1" applyAlignment="1">
      <alignment horizontal="right" vertical="center"/>
    </xf>
    <xf numFmtId="2" fontId="0" fillId="0" borderId="0" xfId="0" applyNumberFormat="1" applyAlignment="1">
      <alignment horizontal="right" vertical="center"/>
    </xf>
    <xf numFmtId="0" fontId="0" fillId="0" borderId="4" xfId="0" applyBorder="1"/>
    <xf numFmtId="0" fontId="0" fillId="2" borderId="0" xfId="0" applyFill="1"/>
    <xf numFmtId="176" fontId="0" fillId="3" borderId="0" xfId="0" applyNumberFormat="1" applyFill="1"/>
    <xf numFmtId="0" fontId="0" fillId="3" borderId="0" xfId="0" applyFill="1"/>
    <xf numFmtId="176" fontId="0" fillId="0" borderId="0" xfId="0" applyNumberFormat="1"/>
    <xf numFmtId="1" fontId="0" fillId="2" borderId="0" xfId="0" applyNumberFormat="1" applyFill="1"/>
    <xf numFmtId="2" fontId="0" fillId="4" borderId="5" xfId="0" applyNumberFormat="1" applyFill="1" applyBorder="1"/>
    <xf numFmtId="0" fontId="0" fillId="0" borderId="6" xfId="0" applyBorder="1"/>
    <xf numFmtId="0" fontId="0" fillId="0" borderId="7" xfId="0" applyBorder="1"/>
    <xf numFmtId="0" fontId="0" fillId="2" borderId="7" xfId="0" applyFill="1" applyBorder="1"/>
    <xf numFmtId="176" fontId="0" fillId="3" borderId="7" xfId="0" applyNumberFormat="1" applyFill="1" applyBorder="1"/>
    <xf numFmtId="0" fontId="0" fillId="3" borderId="7" xfId="0" applyFill="1" applyBorder="1"/>
    <xf numFmtId="176" fontId="0" fillId="0" borderId="7" xfId="0" applyNumberFormat="1" applyBorder="1"/>
    <xf numFmtId="1" fontId="0" fillId="2" borderId="7" xfId="0" applyNumberFormat="1" applyFill="1" applyBorder="1"/>
    <xf numFmtId="2" fontId="0" fillId="4" borderId="8" xfId="0" applyNumberFormat="1" applyFill="1" applyBorder="1"/>
    <xf numFmtId="0" fontId="0" fillId="5" borderId="1" xfId="0" applyFill="1" applyBorder="1"/>
    <xf numFmtId="0" fontId="0" fillId="5" borderId="2" xfId="0" applyFill="1" applyBorder="1"/>
    <xf numFmtId="0" fontId="0" fillId="5" borderId="2" xfId="0" applyFill="1" applyBorder="1" applyAlignment="1">
      <alignment wrapText="1"/>
    </xf>
    <xf numFmtId="0" fontId="0" fillId="5" borderId="3" xfId="0" applyFill="1" applyBorder="1"/>
    <xf numFmtId="176" fontId="0" fillId="2" borderId="0" xfId="0" applyNumberFormat="1" applyFill="1"/>
    <xf numFmtId="176" fontId="0" fillId="2" borderId="7" xfId="0" applyNumberFormat="1" applyFill="1" applyBorder="1"/>
    <xf numFmtId="0" fontId="1" fillId="0" borderId="0" xfId="0" applyFont="1" applyAlignment="1">
      <alignment wrapText="1"/>
    </xf>
    <xf numFmtId="0" fontId="1" fillId="0" borderId="0" xfId="0" applyFont="1"/>
    <xf numFmtId="176" fontId="2" fillId="2" borderId="0" xfId="0" applyNumberFormat="1" applyFont="1" applyFill="1"/>
    <xf numFmtId="0" fontId="0" fillId="2" borderId="9" xfId="0" applyFill="1" applyBorder="1"/>
    <xf numFmtId="1" fontId="0" fillId="2" borderId="9" xfId="0" applyNumberFormat="1" applyFill="1" applyBorder="1"/>
    <xf numFmtId="178" fontId="0" fillId="3" borderId="9" xfId="0" applyNumberFormat="1" applyFill="1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2" fontId="0" fillId="0" borderId="16" xfId="0" applyNumberFormat="1" applyBorder="1"/>
    <xf numFmtId="176" fontId="0" fillId="5" borderId="9" xfId="0" applyNumberFormat="1" applyFill="1" applyBorder="1"/>
    <xf numFmtId="0" fontId="0" fillId="0" borderId="17" xfId="0" applyBorder="1"/>
    <xf numFmtId="178" fontId="0" fillId="2" borderId="19" xfId="0" applyNumberFormat="1" applyFill="1" applyBorder="1"/>
    <xf numFmtId="0" fontId="0" fillId="6" borderId="21" xfId="0" applyFill="1" applyBorder="1"/>
    <xf numFmtId="0" fontId="0" fillId="6" borderId="22" xfId="0" applyFill="1" applyBorder="1"/>
    <xf numFmtId="0" fontId="0" fillId="6" borderId="23" xfId="0" applyFill="1" applyBorder="1"/>
    <xf numFmtId="0" fontId="2" fillId="7" borderId="18" xfId="0" applyFont="1" applyFill="1" applyBorder="1" applyAlignment="1">
      <alignment wrapText="1"/>
    </xf>
    <xf numFmtId="0" fontId="0" fillId="7" borderId="19" xfId="0" applyFill="1" applyBorder="1" applyAlignment="1">
      <alignment wrapText="1"/>
    </xf>
    <xf numFmtId="0" fontId="2" fillId="7" borderId="10" xfId="0" applyFont="1" applyFill="1" applyBorder="1" applyAlignment="1">
      <alignment wrapText="1"/>
    </xf>
    <xf numFmtId="0" fontId="0" fillId="7" borderId="9" xfId="0" applyFill="1" applyBorder="1" applyAlignment="1">
      <alignment wrapText="1"/>
    </xf>
    <xf numFmtId="0" fontId="2" fillId="7" borderId="10" xfId="0" applyFont="1" applyFill="1" applyBorder="1"/>
    <xf numFmtId="0" fontId="0" fillId="7" borderId="9" xfId="0" applyFill="1" applyBorder="1"/>
    <xf numFmtId="0" fontId="2" fillId="7" borderId="14" xfId="0" applyFont="1" applyFill="1" applyBorder="1"/>
    <xf numFmtId="0" fontId="0" fillId="7" borderId="15" xfId="0" applyFill="1" applyBorder="1"/>
    <xf numFmtId="0" fontId="0" fillId="2" borderId="20" xfId="0" applyFill="1" applyBorder="1"/>
    <xf numFmtId="0" fontId="0" fillId="2" borderId="12" xfId="0" applyFill="1" applyBorder="1"/>
    <xf numFmtId="178" fontId="0" fillId="0" borderId="0" xfId="0" applyNumberFormat="1"/>
    <xf numFmtId="178" fontId="3" fillId="4" borderId="15" xfId="0" applyNumberFormat="1" applyFont="1" applyFill="1" applyBorder="1"/>
    <xf numFmtId="178" fontId="0" fillId="5" borderId="9" xfId="0" applyNumberFormat="1" applyFill="1" applyBorder="1"/>
    <xf numFmtId="176" fontId="2" fillId="3" borderId="9" xfId="0" applyNumberFormat="1" applyFont="1" applyFill="1" applyBorder="1"/>
    <xf numFmtId="2" fontId="0" fillId="2" borderId="9" xfId="0" applyNumberFormat="1" applyFill="1" applyBorder="1"/>
  </cellXfs>
  <cellStyles count="1"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spPr>
            <a:noFill/>
            <a:ln>
              <a:noFill/>
            </a:ln>
            <a:effectLst/>
          </c:spPr>
          <c:invertIfNegative val="0"/>
          <c:cat>
            <c:strRef>
              <c:f>Sheet1!$R$3:$R$16</c:f>
              <c:strCache>
                <c:ptCount val="10"/>
                <c:pt idx="0">
                  <c:v>P＆P上昇</c:v>
                </c:pt>
                <c:pt idx="1">
                  <c:v>P＆P下降</c:v>
                </c:pt>
                <c:pt idx="2">
                  <c:v>P＆P前進</c:v>
                </c:pt>
                <c:pt idx="3">
                  <c:v>P＆P後退</c:v>
                </c:pt>
                <c:pt idx="4">
                  <c:v>P＆P吸着ON</c:v>
                </c:pt>
                <c:pt idx="5">
                  <c:v>P＆P吸着OFF</c:v>
                </c:pt>
                <c:pt idx="6">
                  <c:v>P＆P上昇</c:v>
                </c:pt>
                <c:pt idx="7">
                  <c:v>P＆P下降</c:v>
                </c:pt>
                <c:pt idx="8">
                  <c:v>テーブル前進</c:v>
                </c:pt>
                <c:pt idx="9">
                  <c:v>テーブル後退</c:v>
                </c:pt>
              </c:strCache>
            </c:strRef>
          </c:cat>
          <c:val>
            <c:numRef>
              <c:f>Sheet1!$S$3:$S$16</c:f>
              <c:numCache>
                <c:formatCode>0.00</c:formatCode>
                <c:ptCount val="14"/>
                <c:pt idx="0" formatCode="0.00_);[Red]\(0.00\)">
                  <c:v>0.8</c:v>
                </c:pt>
                <c:pt idx="1">
                  <c:v>0</c:v>
                </c:pt>
                <c:pt idx="2" formatCode="0.00_);[Red]\(0.00\)">
                  <c:v>1.2000000000000002</c:v>
                </c:pt>
                <c:pt idx="3" formatCode="0.00_);[Red]\(0.00\)">
                  <c:v>3.3</c:v>
                </c:pt>
                <c:pt idx="4">
                  <c:v>0.4</c:v>
                </c:pt>
                <c:pt idx="5" formatCode="0.00_);[Red]\(0.00\)">
                  <c:v>2.5</c:v>
                </c:pt>
                <c:pt idx="8" formatCode="0.00_);[Red]\(0.00\)">
                  <c:v>1.2000000000000002</c:v>
                </c:pt>
                <c:pt idx="9">
                  <c:v>3.3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F7F-481C-8D24-539C4959560B}"/>
            </c:ext>
          </c:extLst>
        </c:ser>
        <c:ser>
          <c:idx val="1"/>
          <c:order val="1"/>
          <c:spPr>
            <a:solidFill>
              <a:srgbClr val="FFE69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Base"/>
            <c:showLegendKey val="0"/>
            <c:showVal val="1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Sheet1!$R$3:$R$16</c:f>
              <c:strCache>
                <c:ptCount val="10"/>
                <c:pt idx="0">
                  <c:v>P＆P上昇</c:v>
                </c:pt>
                <c:pt idx="1">
                  <c:v>P＆P下降</c:v>
                </c:pt>
                <c:pt idx="2">
                  <c:v>P＆P前進</c:v>
                </c:pt>
                <c:pt idx="3">
                  <c:v>P＆P後退</c:v>
                </c:pt>
                <c:pt idx="4">
                  <c:v>P＆P吸着ON</c:v>
                </c:pt>
                <c:pt idx="5">
                  <c:v>P＆P吸着OFF</c:v>
                </c:pt>
                <c:pt idx="6">
                  <c:v>P＆P上昇</c:v>
                </c:pt>
                <c:pt idx="7">
                  <c:v>P＆P下降</c:v>
                </c:pt>
                <c:pt idx="8">
                  <c:v>テーブル前進</c:v>
                </c:pt>
                <c:pt idx="9">
                  <c:v>テーブル後退</c:v>
                </c:pt>
              </c:strCache>
            </c:strRef>
          </c:cat>
          <c:val>
            <c:numRef>
              <c:f>Sheet1!$T$3:$T$16</c:f>
              <c:numCache>
                <c:formatCode>0.00_);[Red]\(0.00\)</c:formatCode>
                <c:ptCount val="14"/>
                <c:pt idx="0">
                  <c:v>0.4</c:v>
                </c:pt>
                <c:pt idx="1">
                  <c:v>0.4</c:v>
                </c:pt>
                <c:pt idx="2">
                  <c:v>0.9</c:v>
                </c:pt>
                <c:pt idx="3">
                  <c:v>0.9</c:v>
                </c:pt>
                <c:pt idx="4">
                  <c:v>0.4</c:v>
                </c:pt>
                <c:pt idx="5">
                  <c:v>0.4</c:v>
                </c:pt>
                <c:pt idx="8">
                  <c:v>0.9</c:v>
                </c:pt>
                <c:pt idx="9">
                  <c:v>0.9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F7F-481C-8D24-539C4959560B}"/>
            </c:ext>
          </c:extLst>
        </c:ser>
        <c:ser>
          <c:idx val="3"/>
          <c:order val="2"/>
          <c:spPr>
            <a:noFill/>
            <a:ln>
              <a:noFill/>
            </a:ln>
            <a:effectLst/>
          </c:spPr>
          <c:invertIfNegative val="0"/>
          <c:cat>
            <c:strRef>
              <c:f>Sheet1!$R$3:$R$16</c:f>
              <c:strCache>
                <c:ptCount val="10"/>
                <c:pt idx="0">
                  <c:v>P＆P上昇</c:v>
                </c:pt>
                <c:pt idx="1">
                  <c:v>P＆P下降</c:v>
                </c:pt>
                <c:pt idx="2">
                  <c:v>P＆P前進</c:v>
                </c:pt>
                <c:pt idx="3">
                  <c:v>P＆P後退</c:v>
                </c:pt>
                <c:pt idx="4">
                  <c:v>P＆P吸着ON</c:v>
                </c:pt>
                <c:pt idx="5">
                  <c:v>P＆P吸着OFF</c:v>
                </c:pt>
                <c:pt idx="6">
                  <c:v>P＆P上昇</c:v>
                </c:pt>
                <c:pt idx="7">
                  <c:v>P＆P下降</c:v>
                </c:pt>
                <c:pt idx="8">
                  <c:v>テーブル前進</c:v>
                </c:pt>
                <c:pt idx="9">
                  <c:v>テーブル後退</c:v>
                </c:pt>
              </c:strCache>
            </c:strRef>
          </c:cat>
          <c:val>
            <c:numRef>
              <c:f>Sheet1!$V$3:$V$16</c:f>
              <c:numCache>
                <c:formatCode>0.00</c:formatCode>
                <c:ptCount val="14"/>
                <c:pt idx="0" formatCode="0.00_);[Red]\(0.00\)">
                  <c:v>1.6999999999999997</c:v>
                </c:pt>
                <c:pt idx="1">
                  <c:v>1.7000000000000002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578-481B-91A0-981374CD1E62}"/>
            </c:ext>
          </c:extLst>
        </c:ser>
        <c:ser>
          <c:idx val="4"/>
          <c:order val="3"/>
          <c:spPr>
            <a:solidFill>
              <a:srgbClr val="FFE69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Base"/>
            <c:showLegendKey val="0"/>
            <c:showVal val="1"/>
            <c:showCatName val="1"/>
            <c:showSerName val="0"/>
            <c:showPercent val="0"/>
            <c:showBubbleSize val="0"/>
            <c:separator>| </c:separator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Sheet1!$R$3:$R$16</c:f>
              <c:strCache>
                <c:ptCount val="10"/>
                <c:pt idx="0">
                  <c:v>P＆P上昇</c:v>
                </c:pt>
                <c:pt idx="1">
                  <c:v>P＆P下降</c:v>
                </c:pt>
                <c:pt idx="2">
                  <c:v>P＆P前進</c:v>
                </c:pt>
                <c:pt idx="3">
                  <c:v>P＆P後退</c:v>
                </c:pt>
                <c:pt idx="4">
                  <c:v>P＆P吸着ON</c:v>
                </c:pt>
                <c:pt idx="5">
                  <c:v>P＆P吸着OFF</c:v>
                </c:pt>
                <c:pt idx="6">
                  <c:v>P＆P上昇</c:v>
                </c:pt>
                <c:pt idx="7">
                  <c:v>P＆P下降</c:v>
                </c:pt>
                <c:pt idx="8">
                  <c:v>テーブル前進</c:v>
                </c:pt>
                <c:pt idx="9">
                  <c:v>テーブル後退</c:v>
                </c:pt>
              </c:strCache>
            </c:strRef>
          </c:cat>
          <c:val>
            <c:numRef>
              <c:f>Sheet1!$W$3:$W$16</c:f>
              <c:numCache>
                <c:formatCode>0.00_);[Red]\(0.00\)</c:formatCode>
                <c:ptCount val="14"/>
                <c:pt idx="0">
                  <c:v>0.4</c:v>
                </c:pt>
                <c:pt idx="1">
                  <c:v>0.4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1578-481B-91A0-981374CD1E62}"/>
            </c:ext>
          </c:extLst>
        </c:ser>
        <c:ser>
          <c:idx val="5"/>
          <c:order val="4"/>
          <c:spPr>
            <a:noFill/>
            <a:ln>
              <a:noFill/>
            </a:ln>
            <a:effectLst/>
          </c:spPr>
          <c:invertIfNegative val="0"/>
          <c:cat>
            <c:strRef>
              <c:f>Sheet1!$R$3:$R$16</c:f>
              <c:strCache>
                <c:ptCount val="10"/>
                <c:pt idx="0">
                  <c:v>P＆P上昇</c:v>
                </c:pt>
                <c:pt idx="1">
                  <c:v>P＆P下降</c:v>
                </c:pt>
                <c:pt idx="2">
                  <c:v>P＆P前進</c:v>
                </c:pt>
                <c:pt idx="3">
                  <c:v>P＆P後退</c:v>
                </c:pt>
                <c:pt idx="4">
                  <c:v>P＆P吸着ON</c:v>
                </c:pt>
                <c:pt idx="5">
                  <c:v>P＆P吸着OFF</c:v>
                </c:pt>
                <c:pt idx="6">
                  <c:v>P＆P上昇</c:v>
                </c:pt>
                <c:pt idx="7">
                  <c:v>P＆P下降</c:v>
                </c:pt>
                <c:pt idx="8">
                  <c:v>テーブル前進</c:v>
                </c:pt>
                <c:pt idx="9">
                  <c:v>テーブル後退</c:v>
                </c:pt>
              </c:strCache>
            </c:strRef>
          </c:cat>
          <c:val>
            <c:numRef>
              <c:f>Sheet1!$X$3:$X$16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1578-481B-91A0-981374CD1E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1"/>
        <c:overlap val="100"/>
        <c:axId val="858848920"/>
        <c:axId val="2214439"/>
      </c:barChart>
      <c:catAx>
        <c:axId val="858848920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14439"/>
        <c:crosses val="autoZero"/>
        <c:auto val="1"/>
        <c:lblAlgn val="ctr"/>
        <c:lblOffset val="100"/>
        <c:noMultiLvlLbl val="0"/>
      </c:catAx>
      <c:valAx>
        <c:axId val="2214439"/>
        <c:scaling>
          <c:orientation val="minMax"/>
          <c:max val="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0.00_);[Red]\(0.0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58848920"/>
        <c:crosses val="max"/>
        <c:crossBetween val="between"/>
        <c:majorUnit val="0.5"/>
        <c:minorUnit val="0.1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0</xdr:colOff>
      <xdr:row>1</xdr:row>
      <xdr:rowOff>638175</xdr:rowOff>
    </xdr:from>
    <xdr:to>
      <xdr:col>38</xdr:col>
      <xdr:colOff>28575</xdr:colOff>
      <xdr:row>17</xdr:row>
      <xdr:rowOff>152400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8163E478-6ACF-6752-4368-29F531D33EC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W19"/>
  <sheetViews>
    <sheetView showGridLines="0" workbookViewId="0">
      <selection sqref="A1:XFD1048576"/>
    </sheetView>
  </sheetViews>
  <sheetFormatPr defaultColWidth="9" defaultRowHeight="13.5"/>
  <cols>
    <col min="4" max="4" width="12.875" customWidth="1"/>
    <col min="5" max="5" width="12.75" customWidth="1"/>
    <col min="6" max="6" width="7.5" customWidth="1"/>
    <col min="7" max="8" width="0.875" hidden="1" customWidth="1"/>
    <col min="9" max="9" width="6.875" hidden="1" customWidth="1"/>
    <col min="10" max="10" width="0.875" hidden="1" customWidth="1"/>
    <col min="11" max="11" width="0.75" hidden="1" customWidth="1"/>
    <col min="12" max="13" width="0.625" hidden="1" customWidth="1"/>
    <col min="14" max="14" width="8.875" customWidth="1"/>
    <col min="15" max="15" width="10.125" customWidth="1"/>
    <col min="16" max="16" width="5.25" customWidth="1"/>
    <col min="17" max="19" width="8.875" customWidth="1"/>
    <col min="20" max="20" width="6" customWidth="1"/>
    <col min="21" max="21" width="6.875" customWidth="1"/>
    <col min="22" max="22" width="5.625" customWidth="1"/>
    <col min="23" max="23" width="11.25" customWidth="1"/>
    <col min="24" max="51" width="1.625" customWidth="1"/>
  </cols>
  <sheetData>
    <row r="2" spans="2:23" ht="25.5" customHeight="1">
      <c r="B2" s="20" t="s">
        <v>0</v>
      </c>
      <c r="C2" s="21" t="s">
        <v>1</v>
      </c>
      <c r="D2" s="22" t="s">
        <v>2</v>
      </c>
      <c r="E2" s="21" t="s">
        <v>3</v>
      </c>
      <c r="F2" s="22" t="s">
        <v>4</v>
      </c>
      <c r="G2" s="21" t="s">
        <v>5</v>
      </c>
      <c r="H2" s="21" t="s">
        <v>6</v>
      </c>
      <c r="I2" s="22" t="s">
        <v>7</v>
      </c>
      <c r="J2" s="21" t="s">
        <v>8</v>
      </c>
      <c r="K2" s="21" t="s">
        <v>9</v>
      </c>
      <c r="L2" s="21" t="s">
        <v>10</v>
      </c>
      <c r="M2" s="21" t="s">
        <v>11</v>
      </c>
      <c r="N2" s="22" t="s">
        <v>12</v>
      </c>
      <c r="O2" s="22" t="s">
        <v>13</v>
      </c>
      <c r="P2" s="22" t="s">
        <v>14</v>
      </c>
      <c r="Q2" s="23" t="s">
        <v>15</v>
      </c>
      <c r="R2" s="26" t="s">
        <v>16</v>
      </c>
      <c r="S2" s="26" t="s">
        <v>17</v>
      </c>
      <c r="T2" s="27" t="s">
        <v>15</v>
      </c>
      <c r="U2" s="27" t="s">
        <v>18</v>
      </c>
      <c r="V2" s="27"/>
      <c r="W2" s="27"/>
    </row>
    <row r="3" spans="2:23">
      <c r="B3" s="5" t="s">
        <v>19</v>
      </c>
      <c r="C3" t="s">
        <v>20</v>
      </c>
      <c r="D3" t="s">
        <v>21</v>
      </c>
      <c r="E3" t="s">
        <v>22</v>
      </c>
      <c r="F3" s="6">
        <v>0</v>
      </c>
      <c r="G3" s="7">
        <f>IF(0&lt;F3,N3/F3/9810,0)</f>
        <v>0</v>
      </c>
      <c r="H3" s="7">
        <f>IFERROR(SQRT((2*(O3/2))/(F3*9810)),0)</f>
        <v>0</v>
      </c>
      <c r="I3" s="7">
        <f>IF(G3&lt;H3,G3,H3)</f>
        <v>0</v>
      </c>
      <c r="J3" s="7">
        <f>O3-((1/2)*F3*9810*I3^2)*2</f>
        <v>20</v>
      </c>
      <c r="K3" s="8">
        <f>I3*F3*9810</f>
        <v>0</v>
      </c>
      <c r="L3" s="9">
        <f t="shared" ref="L3:L8" si="0">IF(K3=0,O3/N3,J3/K3)</f>
        <v>0.25</v>
      </c>
      <c r="M3" s="9">
        <f>L3+I3/2</f>
        <v>0.25</v>
      </c>
      <c r="N3" s="6">
        <v>80</v>
      </c>
      <c r="O3" s="10">
        <v>20</v>
      </c>
      <c r="P3" s="24">
        <v>0.1</v>
      </c>
      <c r="Q3" s="11">
        <f>ROUNDUP(I3+L3+P3,1)</f>
        <v>0.4</v>
      </c>
      <c r="R3" s="1" t="str">
        <f>B3&amp;C3</f>
        <v>P＆P上昇</v>
      </c>
      <c r="S3" s="3">
        <f>U7</f>
        <v>0.8</v>
      </c>
      <c r="T3" s="2">
        <f>Q3</f>
        <v>0.4</v>
      </c>
      <c r="U3" s="2">
        <f>S3+T3</f>
        <v>1.2000000000000002</v>
      </c>
      <c r="V3" s="3">
        <f>U8-U3</f>
        <v>1.6999999999999997</v>
      </c>
      <c r="W3" s="2">
        <v>0.4</v>
      </c>
    </row>
    <row r="4" spans="2:23">
      <c r="B4" s="5" t="s">
        <v>19</v>
      </c>
      <c r="C4" t="s">
        <v>23</v>
      </c>
      <c r="D4" t="s">
        <v>21</v>
      </c>
      <c r="E4" t="s">
        <v>22</v>
      </c>
      <c r="F4" s="6">
        <v>0</v>
      </c>
      <c r="G4" s="7">
        <f>IF(0&lt;F4,N4/F4/9810,0)</f>
        <v>0</v>
      </c>
      <c r="H4" s="7">
        <f>IFERROR(SQRT((2*(O4/2))/(F4*9810)),0)</f>
        <v>0</v>
      </c>
      <c r="I4" s="7">
        <f>IF(G4&lt;H4,G4,H4)</f>
        <v>0</v>
      </c>
      <c r="J4" s="7">
        <f>O4-((1/2)*F4*9810*I4^2)*2</f>
        <v>20</v>
      </c>
      <c r="K4" s="8">
        <f>I4*F4*9810</f>
        <v>0</v>
      </c>
      <c r="L4" s="9">
        <f t="shared" si="0"/>
        <v>0.25</v>
      </c>
      <c r="M4" s="9">
        <f>L4+I4/2</f>
        <v>0.25</v>
      </c>
      <c r="N4" s="6">
        <v>80</v>
      </c>
      <c r="O4" s="10">
        <v>20</v>
      </c>
      <c r="P4" s="24">
        <v>0.1</v>
      </c>
      <c r="Q4" s="11">
        <f>ROUNDUP(I4+L4+P4,1)</f>
        <v>0.4</v>
      </c>
      <c r="R4" s="1" t="str">
        <f>B4&amp;C4</f>
        <v>P＆P下降</v>
      </c>
      <c r="S4" s="4">
        <v>0</v>
      </c>
      <c r="T4" s="2">
        <f t="shared" ref="T4:T8" si="1">Q4</f>
        <v>0.4</v>
      </c>
      <c r="U4" s="2">
        <f t="shared" ref="U4:U8" si="2">S4+T4</f>
        <v>0.4</v>
      </c>
      <c r="V4" s="4">
        <f>U5-T4</f>
        <v>1.7000000000000002</v>
      </c>
      <c r="W4" s="2">
        <v>0.4</v>
      </c>
    </row>
    <row r="5" spans="2:23">
      <c r="B5" s="5" t="s">
        <v>19</v>
      </c>
      <c r="C5" t="s">
        <v>24</v>
      </c>
      <c r="D5" t="s">
        <v>25</v>
      </c>
      <c r="E5" t="s">
        <v>26</v>
      </c>
      <c r="F5" s="6">
        <v>0.1</v>
      </c>
      <c r="G5" s="7">
        <f>IF(0&lt;F5,N5/F5/9810,0)</f>
        <v>0.4077471967380224</v>
      </c>
      <c r="H5" s="7">
        <f>IFERROR(SQRT((2*(O5/2))/(F5*9810)),0)</f>
        <v>0.553001263609331</v>
      </c>
      <c r="I5" s="7">
        <f>IF(G5&lt;H5,G5,H5)</f>
        <v>0.4077471967380224</v>
      </c>
      <c r="J5" s="7">
        <f>O5-((1/2)*F5*9810*I5^2)*2</f>
        <v>136.90112130479105</v>
      </c>
      <c r="K5" s="8">
        <f>I5*F5*9810</f>
        <v>400</v>
      </c>
      <c r="L5" s="9">
        <f t="shared" si="0"/>
        <v>0.3422528032619776</v>
      </c>
      <c r="M5" s="9">
        <f>L5+I5/2</f>
        <v>0.5461264016309888</v>
      </c>
      <c r="N5" s="6">
        <v>400</v>
      </c>
      <c r="O5" s="10">
        <v>300</v>
      </c>
      <c r="P5" s="24">
        <v>0.1</v>
      </c>
      <c r="Q5" s="11">
        <f>ROUNDUP(I5+L5+P5,1)</f>
        <v>0.9</v>
      </c>
      <c r="R5" s="1" t="str">
        <f>B5&amp;C5</f>
        <v>P＆P前進</v>
      </c>
      <c r="S5" s="3">
        <f>U3</f>
        <v>1.2000000000000002</v>
      </c>
      <c r="T5" s="2">
        <f t="shared" si="1"/>
        <v>0.9</v>
      </c>
      <c r="U5" s="2">
        <f t="shared" si="2"/>
        <v>2.1</v>
      </c>
    </row>
    <row r="6" spans="2:23">
      <c r="B6" s="5" t="s">
        <v>19</v>
      </c>
      <c r="C6" t="s">
        <v>27</v>
      </c>
      <c r="D6" t="s">
        <v>25</v>
      </c>
      <c r="E6" t="s">
        <v>26</v>
      </c>
      <c r="F6" s="6">
        <v>0.1</v>
      </c>
      <c r="G6" s="7">
        <f>IF(0&lt;F6,N6/F6/9810,0)</f>
        <v>0.4077471967380224</v>
      </c>
      <c r="H6" s="7">
        <f>IFERROR(SQRT((2*(O6/2))/(F6*9810)),0)</f>
        <v>0.553001263609331</v>
      </c>
      <c r="I6" s="7">
        <f>IF(G6&lt;H6,G6,H6)</f>
        <v>0.4077471967380224</v>
      </c>
      <c r="J6" s="7">
        <f>O6-((1/2)*F6*9810*I6^2)*2</f>
        <v>136.90112130479105</v>
      </c>
      <c r="K6" s="8">
        <f>I6*F6*9810</f>
        <v>400</v>
      </c>
      <c r="L6" s="9">
        <f t="shared" si="0"/>
        <v>0.3422528032619776</v>
      </c>
      <c r="M6" s="9">
        <f>L6+I6/2</f>
        <v>0.5461264016309888</v>
      </c>
      <c r="N6" s="6">
        <v>400</v>
      </c>
      <c r="O6" s="10">
        <v>300</v>
      </c>
      <c r="P6" s="28">
        <v>0.1</v>
      </c>
      <c r="Q6" s="11">
        <f>ROUNDUP(I6+L6+P6,1)</f>
        <v>0.9</v>
      </c>
      <c r="R6" s="1" t="str">
        <f>B6&amp;C6</f>
        <v>P＆P後退</v>
      </c>
      <c r="S6" s="3">
        <f>U3+W3+V3</f>
        <v>3.3</v>
      </c>
      <c r="T6" s="2">
        <f t="shared" si="1"/>
        <v>0.9</v>
      </c>
      <c r="U6" s="2">
        <f t="shared" si="2"/>
        <v>4.2</v>
      </c>
    </row>
    <row r="7" spans="2:23">
      <c r="B7" s="5" t="s">
        <v>19</v>
      </c>
      <c r="C7" t="s">
        <v>28</v>
      </c>
      <c r="D7" t="s">
        <v>29</v>
      </c>
      <c r="E7" t="s">
        <v>30</v>
      </c>
      <c r="F7" s="6">
        <v>0</v>
      </c>
      <c r="G7" s="7">
        <f>IF(0&lt;F7,N7/F7/9810,0)</f>
        <v>0</v>
      </c>
      <c r="H7" s="7">
        <f>IFERROR(SQRT((2*(O7/2))/(F7*9810)),0)</f>
        <v>0</v>
      </c>
      <c r="I7" s="7">
        <f>IF(G7&lt;H7,G7,H7)</f>
        <v>0</v>
      </c>
      <c r="J7" s="7">
        <f>O7-((1/2)*F7*9810*I7^2)*2</f>
        <v>20</v>
      </c>
      <c r="K7" s="8">
        <f>I7*F7*9810</f>
        <v>0</v>
      </c>
      <c r="L7" s="9">
        <f t="shared" si="0"/>
        <v>0.25</v>
      </c>
      <c r="M7" s="9">
        <f>L7+I7/2</f>
        <v>0.25</v>
      </c>
      <c r="N7" s="6">
        <v>80</v>
      </c>
      <c r="O7" s="10">
        <v>20</v>
      </c>
      <c r="P7" s="24">
        <v>0.1</v>
      </c>
      <c r="Q7" s="11">
        <f>ROUNDUP(I7+L7+P7,1)</f>
        <v>0.4</v>
      </c>
      <c r="R7" s="1" t="str">
        <f>B7&amp;C7</f>
        <v>P＆P吸着ON</v>
      </c>
      <c r="S7" s="4">
        <f>T4</f>
        <v>0.4</v>
      </c>
      <c r="T7" s="2">
        <f t="shared" si="1"/>
        <v>0.4</v>
      </c>
      <c r="U7" s="2">
        <f t="shared" si="2"/>
        <v>0.8</v>
      </c>
    </row>
    <row r="8" spans="2:23">
      <c r="B8" s="5" t="s">
        <v>19</v>
      </c>
      <c r="C8" t="s">
        <v>31</v>
      </c>
      <c r="D8" t="s">
        <v>29</v>
      </c>
      <c r="E8" t="s">
        <v>32</v>
      </c>
      <c r="F8" s="6">
        <v>0</v>
      </c>
      <c r="G8" s="7">
        <f>IF(0&lt;F8,N8/F8/9810,0)</f>
        <v>0</v>
      </c>
      <c r="H8" s="7">
        <f>IFERROR(SQRT((2*(O8/2))/(F8*9810)),0)</f>
        <v>0</v>
      </c>
      <c r="I8" s="7">
        <f>IF(G8&lt;H8,G8,H8)</f>
        <v>0</v>
      </c>
      <c r="J8" s="7">
        <f>O8-((1/2)*F8*9810*I8^2)*2</f>
        <v>20</v>
      </c>
      <c r="K8" s="8">
        <f>I8*F8*9810</f>
        <v>0</v>
      </c>
      <c r="L8" s="9">
        <f t="shared" si="0"/>
        <v>0.25</v>
      </c>
      <c r="M8" s="9">
        <f>L8+I8/2</f>
        <v>0.25</v>
      </c>
      <c r="N8" s="6">
        <v>80</v>
      </c>
      <c r="O8" s="10">
        <v>20</v>
      </c>
      <c r="P8" s="24">
        <v>0.1</v>
      </c>
      <c r="Q8" s="11">
        <f>ROUNDUP(I8+L8+P8,1)</f>
        <v>0.4</v>
      </c>
      <c r="R8" s="1" t="str">
        <f>B8&amp;C8</f>
        <v>P＆P吸着OFF</v>
      </c>
      <c r="S8" s="3">
        <f>T4+W4+V4</f>
        <v>2.5</v>
      </c>
      <c r="T8" s="2">
        <f t="shared" si="1"/>
        <v>0.4</v>
      </c>
      <c r="U8" s="2">
        <f t="shared" si="2"/>
        <v>2.9</v>
      </c>
    </row>
    <row r="9" spans="2:23">
      <c r="B9" s="5" t="s">
        <v>19</v>
      </c>
      <c r="C9" t="s">
        <v>20</v>
      </c>
      <c r="D9" t="s">
        <v>21</v>
      </c>
      <c r="E9" t="s">
        <v>22</v>
      </c>
      <c r="F9" s="6">
        <v>0</v>
      </c>
      <c r="G9" s="7">
        <f>IF(0&lt;F9,N9/F9/9810,0)</f>
        <v>0</v>
      </c>
      <c r="H9" s="7">
        <f>IFERROR(SQRT((2*(O9/2))/(F9*9810)),0)</f>
        <v>0</v>
      </c>
      <c r="I9" s="7">
        <f>IF(G9&lt;H9,G9,H9)</f>
        <v>0</v>
      </c>
      <c r="J9" s="7">
        <f>O9-((1/2)*F9*9810*I9^2)*2</f>
        <v>20</v>
      </c>
      <c r="K9" s="8">
        <f>I9*F9*9810</f>
        <v>0</v>
      </c>
      <c r="L9" s="9">
        <f t="shared" ref="L9" si="3">IF(K9=0,O9/N9,J9/K9)</f>
        <v>0.25</v>
      </c>
      <c r="M9" s="9">
        <f>L9+I9/2</f>
        <v>0.25</v>
      </c>
      <c r="N9" s="6">
        <v>80</v>
      </c>
      <c r="O9" s="10">
        <v>20</v>
      </c>
      <c r="P9" s="24">
        <v>0.1</v>
      </c>
      <c r="Q9" s="11">
        <f>ROUNDUP(I9+L9+P9,1)</f>
        <v>0.4</v>
      </c>
      <c r="R9" s="1" t="str">
        <f>B9&amp;C9</f>
        <v>P＆P上昇</v>
      </c>
      <c r="S9" s="3"/>
      <c r="T9" s="2"/>
      <c r="U9" s="2"/>
    </row>
    <row r="10" spans="2:23">
      <c r="B10" s="5" t="s">
        <v>19</v>
      </c>
      <c r="C10" t="s">
        <v>23</v>
      </c>
      <c r="D10" t="s">
        <v>21</v>
      </c>
      <c r="E10" t="s">
        <v>22</v>
      </c>
      <c r="F10" s="6">
        <v>0</v>
      </c>
      <c r="G10" s="7">
        <f>IFERROR(N10/(F10*9810),0)</f>
        <v>0</v>
      </c>
      <c r="H10" s="7">
        <f>IFERROR(SQRT((2*(O10/2))/(F10*9810)),0)</f>
        <v>0</v>
      </c>
      <c r="I10" s="7">
        <f>IF(G10&lt;H10,G10,H10)</f>
        <v>0</v>
      </c>
      <c r="J10" s="7">
        <f>O10-((1/2)*F10*9810*I10^2)*2</f>
        <v>20</v>
      </c>
      <c r="K10" s="8">
        <f>I10*F10*9810</f>
        <v>0</v>
      </c>
      <c r="L10" s="9">
        <f>IF(K10=0,O10/N10,J10/K10)</f>
        <v>0.25</v>
      </c>
      <c r="M10" s="9">
        <f>L10+I10/2</f>
        <v>0.25</v>
      </c>
      <c r="N10" s="6">
        <v>80</v>
      </c>
      <c r="O10" s="10">
        <v>20</v>
      </c>
      <c r="P10" s="24">
        <v>0.1</v>
      </c>
      <c r="Q10" s="11">
        <f>ROUNDUP(I10+L10+P10,1)</f>
        <v>0.4</v>
      </c>
      <c r="R10" s="1" t="str">
        <f>B10&amp;C10</f>
        <v>P＆P下降</v>
      </c>
      <c r="S10" s="4"/>
      <c r="T10" s="2"/>
      <c r="U10" s="2"/>
    </row>
    <row r="11" spans="2:23">
      <c r="B11" s="5" t="s">
        <v>33</v>
      </c>
      <c r="C11" t="s">
        <v>24</v>
      </c>
      <c r="D11" t="s">
        <v>25</v>
      </c>
      <c r="E11" t="s">
        <v>26</v>
      </c>
      <c r="F11" s="6">
        <v>0.3</v>
      </c>
      <c r="G11" s="7">
        <f>IF(0&lt;F11,N11/F11/9810,0)</f>
        <v>0.1359157322460075</v>
      </c>
      <c r="H11" s="7">
        <f>IFERROR(SQRT((2*(O11/2))/(F11*9810)),0)</f>
        <v>0.31927542840705048</v>
      </c>
      <c r="I11" s="7">
        <f>IF(G11&lt;H11,G11,H11)</f>
        <v>0.1359157322460075</v>
      </c>
      <c r="J11" s="7">
        <f>O11-((1/2)*F11*9810*I11^2)*2</f>
        <v>245.633707101597</v>
      </c>
      <c r="K11" s="8">
        <f>I11*F11*9810</f>
        <v>400.00000000000006</v>
      </c>
      <c r="L11" s="9">
        <f t="shared" ref="L11:L12" si="4">IF(K11=0,O11/N11,J11/K11)</f>
        <v>0.61408426775399239</v>
      </c>
      <c r="M11" s="9">
        <f>L11+I11/2</f>
        <v>0.68204213387699619</v>
      </c>
      <c r="N11" s="6">
        <v>400</v>
      </c>
      <c r="O11" s="10">
        <v>300</v>
      </c>
      <c r="P11" s="24">
        <v>0.1</v>
      </c>
      <c r="Q11" s="11">
        <f>ROUNDUP(I11+L11+P11,1)</f>
        <v>0.9</v>
      </c>
      <c r="R11" s="1" t="str">
        <f>B11&amp;C11</f>
        <v>テーブル前進</v>
      </c>
      <c r="S11" s="3">
        <f>U3</f>
        <v>1.2000000000000002</v>
      </c>
      <c r="T11" s="2">
        <f>Q11</f>
        <v>0.9</v>
      </c>
      <c r="U11" s="2">
        <f>S11+T11</f>
        <v>2.1</v>
      </c>
    </row>
    <row r="12" spans="2:23">
      <c r="B12" s="5" t="s">
        <v>33</v>
      </c>
      <c r="C12" t="s">
        <v>27</v>
      </c>
      <c r="D12" t="s">
        <v>25</v>
      </c>
      <c r="E12" t="s">
        <v>26</v>
      </c>
      <c r="F12" s="6">
        <v>0.3</v>
      </c>
      <c r="G12" s="7">
        <f>IF(0&lt;F12,N12/F12/9810,0)</f>
        <v>0.1359157322460075</v>
      </c>
      <c r="H12" s="7">
        <f>IFERROR(SQRT((2*(O12/2))/(F12*9810)),0)</f>
        <v>0.31927542840705048</v>
      </c>
      <c r="I12" s="7">
        <f>IF(G12&lt;H12,G12,H12)</f>
        <v>0.1359157322460075</v>
      </c>
      <c r="J12" s="7">
        <f>O12-((1/2)*F12*9810*I12^2)*2</f>
        <v>245.633707101597</v>
      </c>
      <c r="K12" s="8">
        <f>I12*F12*9810</f>
        <v>400.00000000000006</v>
      </c>
      <c r="L12" s="9">
        <f t="shared" si="4"/>
        <v>0.61408426775399239</v>
      </c>
      <c r="M12" s="9">
        <f>L12+I12/2</f>
        <v>0.68204213387699619</v>
      </c>
      <c r="N12" s="6">
        <v>400</v>
      </c>
      <c r="O12" s="10">
        <v>300</v>
      </c>
      <c r="P12" s="24">
        <v>0.1</v>
      </c>
      <c r="Q12" s="11">
        <f>ROUNDUP(I12+L12+P12,1)</f>
        <v>0.9</v>
      </c>
      <c r="R12" s="1" t="str">
        <f>B12&amp;C12</f>
        <v>テーブル後退</v>
      </c>
      <c r="S12" s="4">
        <f>SUM(T3:V3)</f>
        <v>3.3</v>
      </c>
      <c r="T12" s="2">
        <f t="shared" ref="T12" si="5">Q12</f>
        <v>0.9</v>
      </c>
      <c r="U12" s="2">
        <f>SUM(S3:W3)</f>
        <v>4.5</v>
      </c>
    </row>
    <row r="13" spans="2:23">
      <c r="B13" s="5"/>
      <c r="F13" s="6"/>
      <c r="G13" s="7"/>
      <c r="H13" s="7"/>
      <c r="I13" s="7"/>
      <c r="J13" s="7"/>
      <c r="K13" s="8"/>
      <c r="L13" s="9"/>
      <c r="M13" s="9"/>
      <c r="N13" s="6"/>
      <c r="O13" s="10"/>
      <c r="P13" s="24"/>
      <c r="Q13" s="11"/>
      <c r="R13" s="1"/>
      <c r="S13" s="3"/>
      <c r="T13" s="2"/>
      <c r="U13" s="2"/>
    </row>
    <row r="14" spans="2:23">
      <c r="B14" s="5"/>
      <c r="F14" s="6"/>
      <c r="G14" s="7"/>
      <c r="H14" s="7"/>
      <c r="I14" s="7"/>
      <c r="J14" s="7"/>
      <c r="K14" s="8"/>
      <c r="L14" s="9"/>
      <c r="M14" s="9"/>
      <c r="N14" s="6"/>
      <c r="O14" s="10"/>
      <c r="P14" s="24"/>
      <c r="Q14" s="11"/>
      <c r="R14" s="1"/>
      <c r="S14" s="3"/>
      <c r="T14" s="2"/>
      <c r="U14" s="2"/>
    </row>
    <row r="15" spans="2:23">
      <c r="B15" s="5"/>
      <c r="F15" s="6"/>
      <c r="G15" s="7"/>
      <c r="H15" s="7"/>
      <c r="I15" s="7"/>
      <c r="J15" s="7"/>
      <c r="K15" s="8"/>
      <c r="L15" s="9"/>
      <c r="M15" s="9"/>
      <c r="N15" s="6"/>
      <c r="O15" s="10"/>
      <c r="P15" s="24"/>
      <c r="Q15" s="11"/>
      <c r="R15" s="1"/>
      <c r="S15" s="4"/>
      <c r="T15" s="2"/>
      <c r="U15" s="2"/>
    </row>
    <row r="16" spans="2:23">
      <c r="B16" s="5"/>
      <c r="F16" s="6"/>
      <c r="G16" s="7"/>
      <c r="H16" s="7"/>
      <c r="I16" s="7"/>
      <c r="J16" s="7"/>
      <c r="K16" s="8"/>
      <c r="L16" s="9"/>
      <c r="M16" s="9"/>
      <c r="N16" s="6"/>
      <c r="O16" s="10"/>
      <c r="P16" s="24"/>
      <c r="Q16" s="11"/>
      <c r="R16" s="1"/>
      <c r="S16" s="3"/>
      <c r="T16" s="2"/>
      <c r="U16" s="2"/>
    </row>
    <row r="17" spans="2:21">
      <c r="B17" s="5"/>
      <c r="F17" s="6"/>
      <c r="G17" s="7"/>
      <c r="H17" s="7"/>
      <c r="I17" s="7"/>
      <c r="J17" s="7"/>
      <c r="K17" s="8"/>
      <c r="L17" s="9"/>
      <c r="M17" s="9"/>
      <c r="N17" s="6"/>
      <c r="O17" s="10"/>
      <c r="P17" s="24"/>
      <c r="Q17" s="11"/>
      <c r="R17" s="1"/>
      <c r="S17" s="3"/>
      <c r="T17" s="2"/>
      <c r="U17" s="2"/>
    </row>
    <row r="18" spans="2:21">
      <c r="B18" s="12"/>
      <c r="C18" s="13"/>
      <c r="D18" s="13"/>
      <c r="E18" s="13"/>
      <c r="F18" s="14"/>
      <c r="G18" s="15"/>
      <c r="H18" s="15"/>
      <c r="I18" s="15"/>
      <c r="J18" s="15"/>
      <c r="K18" s="16"/>
      <c r="L18" s="17"/>
      <c r="M18" s="17"/>
      <c r="N18" s="14"/>
      <c r="O18" s="18"/>
      <c r="P18" s="25"/>
      <c r="Q18" s="19"/>
      <c r="R18" s="1"/>
      <c r="S18" s="4"/>
      <c r="T18" s="2"/>
      <c r="U18" s="2"/>
    </row>
    <row r="19" spans="2:21">
      <c r="Q19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EFA676-FD76-4AF0-9FCC-F71A14AEA8AA}">
  <dimension ref="B2:J14"/>
  <sheetViews>
    <sheetView showGridLines="0" tabSelected="1" workbookViewId="0">
      <selection activeCell="C4" sqref="C4"/>
    </sheetView>
  </sheetViews>
  <sheetFormatPr defaultColWidth="9" defaultRowHeight="13.5"/>
  <cols>
    <col min="2" max="2" width="4.125" customWidth="1"/>
    <col min="3" max="3" width="17.375" customWidth="1"/>
    <col min="4" max="4" width="13.5" customWidth="1"/>
    <col min="5" max="5" width="12.875" bestFit="1" customWidth="1"/>
    <col min="6" max="6" width="12.75" customWidth="1"/>
    <col min="7" max="7" width="7.5" customWidth="1"/>
    <col min="8" max="8" width="11.75" bestFit="1" customWidth="1"/>
    <col min="9" max="9" width="11.375" customWidth="1"/>
    <col min="10" max="10" width="13.5" bestFit="1" customWidth="1"/>
    <col min="11" max="11" width="9.75" bestFit="1" customWidth="1"/>
    <col min="12" max="12" width="12.875" bestFit="1" customWidth="1"/>
    <col min="13" max="13" width="11.875" customWidth="1"/>
    <col min="14" max="14" width="13.125" bestFit="1" customWidth="1"/>
    <col min="15" max="15" width="11.375" customWidth="1"/>
    <col min="16" max="16" width="10" customWidth="1"/>
    <col min="17" max="17" width="9" customWidth="1"/>
    <col min="18" max="18" width="8.875" customWidth="1"/>
  </cols>
  <sheetData>
    <row r="2" spans="2:10">
      <c r="B2" s="39"/>
      <c r="C2" s="40" t="s">
        <v>34</v>
      </c>
      <c r="D2" s="40" t="s">
        <v>35</v>
      </c>
      <c r="E2" s="40" t="s">
        <v>36</v>
      </c>
      <c r="F2" s="41" t="s">
        <v>37</v>
      </c>
    </row>
    <row r="3" spans="2:10">
      <c r="B3" s="37" t="s">
        <v>38</v>
      </c>
      <c r="C3" s="42" t="s">
        <v>39</v>
      </c>
      <c r="D3" s="43"/>
      <c r="E3" s="38">
        <v>0.1</v>
      </c>
      <c r="F3" s="50" t="s">
        <v>40</v>
      </c>
      <c r="H3">
        <v>0</v>
      </c>
      <c r="I3" s="52">
        <f>E6</f>
        <v>0.1019367991845056</v>
      </c>
      <c r="J3" cm="1">
        <f t="array" aca="1" ref="J3" ca="1">F1:J4</f>
        <v>0</v>
      </c>
    </row>
    <row r="4" spans="2:10" ht="27">
      <c r="B4" s="32" t="s">
        <v>41</v>
      </c>
      <c r="C4" s="44" t="s">
        <v>42</v>
      </c>
      <c r="D4" s="45"/>
      <c r="E4" s="31">
        <f>IF(0&lt;E3,E11/(E3*9810),0)</f>
        <v>0.1019367991845056</v>
      </c>
      <c r="F4" s="33" t="s">
        <v>43</v>
      </c>
    </row>
    <row r="5" spans="2:10" ht="27">
      <c r="B5" s="32" t="s">
        <v>44</v>
      </c>
      <c r="C5" s="44" t="s">
        <v>45</v>
      </c>
      <c r="D5" s="45"/>
      <c r="E5" s="31">
        <f>IFERROR(SQRT((2*(E12/2))/(E3*9810)),0)</f>
        <v>0.553001263609331</v>
      </c>
      <c r="F5" s="33" t="s">
        <v>43</v>
      </c>
    </row>
    <row r="6" spans="2:10" ht="27">
      <c r="B6" s="32" t="s">
        <v>46</v>
      </c>
      <c r="C6" s="44" t="s">
        <v>47</v>
      </c>
      <c r="D6" s="45" t="s">
        <v>48</v>
      </c>
      <c r="E6" s="31">
        <f>IF(E4&lt;E5,E4,E5)</f>
        <v>0.1019367991845056</v>
      </c>
      <c r="F6" s="33" t="s">
        <v>43</v>
      </c>
    </row>
    <row r="7" spans="2:10">
      <c r="B7" s="32" t="s">
        <v>49</v>
      </c>
      <c r="C7" s="44" t="s">
        <v>50</v>
      </c>
      <c r="D7" s="45" t="s">
        <v>51</v>
      </c>
      <c r="E7" s="31">
        <f>E12-((1/2)*E3*9810*E6^2)*2</f>
        <v>289.80632008154942</v>
      </c>
      <c r="F7" s="33" t="s">
        <v>43</v>
      </c>
    </row>
    <row r="8" spans="2:10">
      <c r="B8" s="32" t="s">
        <v>52</v>
      </c>
      <c r="C8" s="46" t="s">
        <v>53</v>
      </c>
      <c r="D8" s="47" t="s">
        <v>51</v>
      </c>
      <c r="E8" s="55">
        <f>E6*E3*9810</f>
        <v>100</v>
      </c>
      <c r="F8" s="33" t="s">
        <v>43</v>
      </c>
    </row>
    <row r="9" spans="2:10">
      <c r="B9" s="32" t="s">
        <v>54</v>
      </c>
      <c r="C9" s="46" t="s">
        <v>55</v>
      </c>
      <c r="D9" s="47"/>
      <c r="E9" s="54">
        <f>E7/E8</f>
        <v>2.8980632008154941</v>
      </c>
      <c r="F9" s="33" t="s">
        <v>43</v>
      </c>
    </row>
    <row r="10" spans="2:10">
      <c r="B10" s="32" t="s">
        <v>56</v>
      </c>
      <c r="C10" s="46" t="s">
        <v>57</v>
      </c>
      <c r="D10" s="47" t="s">
        <v>58</v>
      </c>
      <c r="E10" s="36">
        <f>E6</f>
        <v>0.1019367991845056</v>
      </c>
      <c r="F10" s="33" t="s">
        <v>43</v>
      </c>
    </row>
    <row r="11" spans="2:10" ht="27">
      <c r="B11" s="32" t="s">
        <v>59</v>
      </c>
      <c r="C11" s="44" t="s">
        <v>60</v>
      </c>
      <c r="D11" s="45"/>
      <c r="E11" s="29">
        <v>100</v>
      </c>
      <c r="F11" s="51" t="s">
        <v>40</v>
      </c>
    </row>
    <row r="12" spans="2:10">
      <c r="B12" s="32" t="s">
        <v>61</v>
      </c>
      <c r="C12" s="44" t="s">
        <v>62</v>
      </c>
      <c r="D12" s="45"/>
      <c r="E12" s="30">
        <v>300</v>
      </c>
      <c r="F12" s="51" t="s">
        <v>40</v>
      </c>
    </row>
    <row r="13" spans="2:10">
      <c r="B13" s="32" t="s">
        <v>63</v>
      </c>
      <c r="C13" s="44" t="s">
        <v>64</v>
      </c>
      <c r="D13" s="45"/>
      <c r="E13" s="56">
        <v>0.1</v>
      </c>
      <c r="F13" s="51" t="s">
        <v>40</v>
      </c>
    </row>
    <row r="14" spans="2:10" ht="18.75">
      <c r="B14" s="34"/>
      <c r="C14" s="48" t="s">
        <v>65</v>
      </c>
      <c r="D14" s="49" t="s">
        <v>66</v>
      </c>
      <c r="E14" s="53">
        <f>E6+E9+E10+E13</f>
        <v>3.2019367991845051</v>
      </c>
      <c r="F14" s="3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2023-08-17T15:04:09Z</dcterms:created>
  <dcterms:modified xsi:type="dcterms:W3CDTF">2023-08-23T17:11:54Z</dcterms:modified>
  <cp:category/>
  <cp:contentStatus/>
</cp:coreProperties>
</file>